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180"/>
  </bookViews>
  <sheets>
    <sheet name="汇总" sheetId="1" r:id="rId1"/>
  </sheets>
  <definedNames>
    <definedName name="_xlnm._FilterDatabase" localSheetId="0" hidden="1">汇总!$A$4:$P$26</definedName>
    <definedName name="_xlnm.Print_Area" localSheetId="0">汇总!$A$1:$P$26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6" i="1" l="1"/>
  <c r="J36" i="1"/>
  <c r="I36" i="1"/>
  <c r="H36" i="1"/>
  <c r="G36" i="1"/>
  <c r="E36" i="1"/>
  <c r="O35" i="1"/>
  <c r="J35" i="1"/>
  <c r="I35" i="1"/>
  <c r="H35" i="1"/>
  <c r="G35" i="1"/>
  <c r="F35" i="1"/>
  <c r="E35" i="1"/>
  <c r="O34" i="1"/>
  <c r="J34" i="1"/>
  <c r="I34" i="1"/>
  <c r="H34" i="1"/>
  <c r="G34" i="1"/>
  <c r="O33" i="1"/>
  <c r="J33" i="1"/>
  <c r="I33" i="1"/>
  <c r="H33" i="1"/>
  <c r="G33" i="1"/>
  <c r="E33" i="1"/>
  <c r="O32" i="1"/>
  <c r="J32" i="1"/>
  <c r="I32" i="1"/>
  <c r="H32" i="1"/>
  <c r="G32" i="1"/>
  <c r="E32" i="1"/>
  <c r="O31" i="1"/>
  <c r="J31" i="1"/>
  <c r="I31" i="1"/>
  <c r="H31" i="1"/>
  <c r="G31" i="1"/>
  <c r="E31" i="1"/>
  <c r="O30" i="1"/>
  <c r="J30" i="1"/>
  <c r="I30" i="1"/>
  <c r="H30" i="1"/>
  <c r="G30" i="1"/>
  <c r="E30" i="1"/>
  <c r="O29" i="1"/>
  <c r="J29" i="1"/>
  <c r="I29" i="1"/>
  <c r="H29" i="1"/>
  <c r="G29" i="1"/>
  <c r="E29" i="1"/>
  <c r="O28" i="1"/>
  <c r="J28" i="1"/>
  <c r="I28" i="1"/>
  <c r="H28" i="1"/>
  <c r="G28" i="1"/>
  <c r="E28" i="1"/>
  <c r="O27" i="1"/>
  <c r="J27" i="1"/>
  <c r="I27" i="1"/>
  <c r="H27" i="1"/>
  <c r="G27" i="1"/>
  <c r="O26" i="1"/>
  <c r="J26" i="1"/>
  <c r="I26" i="1"/>
  <c r="H26" i="1"/>
  <c r="G26" i="1"/>
  <c r="E26" i="1"/>
  <c r="O25" i="1"/>
  <c r="J25" i="1"/>
  <c r="I25" i="1"/>
  <c r="H25" i="1"/>
  <c r="G25" i="1"/>
  <c r="E25" i="1"/>
  <c r="O24" i="1"/>
  <c r="J24" i="1"/>
  <c r="I24" i="1"/>
  <c r="H24" i="1"/>
  <c r="G24" i="1"/>
  <c r="E24" i="1"/>
  <c r="O23" i="1"/>
  <c r="J23" i="1"/>
  <c r="I23" i="1"/>
  <c r="H23" i="1"/>
  <c r="G23" i="1"/>
  <c r="E23" i="1"/>
  <c r="O22" i="1"/>
  <c r="J22" i="1"/>
  <c r="I22" i="1"/>
  <c r="H22" i="1"/>
  <c r="G22" i="1"/>
  <c r="E22" i="1"/>
  <c r="O21" i="1"/>
  <c r="J21" i="1"/>
  <c r="I21" i="1"/>
  <c r="H21" i="1"/>
  <c r="G21" i="1"/>
  <c r="E21" i="1"/>
  <c r="O20" i="1"/>
  <c r="J20" i="1"/>
  <c r="I20" i="1"/>
  <c r="H20" i="1"/>
  <c r="G20" i="1"/>
  <c r="O19" i="1"/>
  <c r="J19" i="1"/>
  <c r="I19" i="1"/>
  <c r="H19" i="1"/>
  <c r="G19" i="1"/>
  <c r="E19" i="1"/>
  <c r="O18" i="1"/>
  <c r="J18" i="1"/>
  <c r="I18" i="1"/>
  <c r="H18" i="1"/>
  <c r="G18" i="1"/>
  <c r="E18" i="1"/>
  <c r="O17" i="1"/>
  <c r="J17" i="1"/>
  <c r="I17" i="1"/>
  <c r="H17" i="1"/>
  <c r="G17" i="1"/>
  <c r="F17" i="1"/>
  <c r="E17" i="1"/>
  <c r="O16" i="1"/>
  <c r="J16" i="1"/>
  <c r="I16" i="1"/>
  <c r="H16" i="1"/>
  <c r="G16" i="1"/>
  <c r="E16" i="1"/>
  <c r="O15" i="1"/>
  <c r="J15" i="1"/>
  <c r="I15" i="1"/>
  <c r="G15" i="1"/>
  <c r="O14" i="1"/>
  <c r="J14" i="1"/>
  <c r="I14" i="1"/>
  <c r="G14" i="1"/>
  <c r="O13" i="1"/>
  <c r="J13" i="1"/>
  <c r="I13" i="1"/>
  <c r="G13" i="1"/>
  <c r="E13" i="1"/>
  <c r="O12" i="1"/>
  <c r="J12" i="1"/>
  <c r="I12" i="1"/>
  <c r="G12" i="1"/>
  <c r="E12" i="1"/>
  <c r="O11" i="1"/>
  <c r="J11" i="1"/>
  <c r="I11" i="1"/>
  <c r="G11" i="1"/>
  <c r="E11" i="1"/>
  <c r="O10" i="1"/>
  <c r="J10" i="1"/>
  <c r="I10" i="1"/>
  <c r="G10" i="1"/>
  <c r="E10" i="1"/>
  <c r="O9" i="1"/>
  <c r="J9" i="1"/>
  <c r="I9" i="1"/>
  <c r="G9" i="1"/>
  <c r="F9" i="1"/>
  <c r="E9" i="1"/>
  <c r="O8" i="1"/>
  <c r="J8" i="1"/>
  <c r="I8" i="1"/>
  <c r="G8" i="1"/>
  <c r="E8" i="1"/>
  <c r="O7" i="1"/>
  <c r="J7" i="1"/>
  <c r="I7" i="1"/>
  <c r="G7" i="1"/>
  <c r="E7" i="1"/>
  <c r="O6" i="1"/>
  <c r="J6" i="1"/>
  <c r="I6" i="1"/>
  <c r="G6" i="1"/>
  <c r="F6" i="1"/>
  <c r="E6" i="1"/>
  <c r="O5" i="1"/>
  <c r="G5" i="1"/>
  <c r="F5" i="1"/>
  <c r="E5" i="1"/>
</calcChain>
</file>

<file path=xl/sharedStrings.xml><?xml version="1.0" encoding="utf-8"?>
<sst xmlns="http://schemas.openxmlformats.org/spreadsheetml/2006/main" count="139" uniqueCount="85">
  <si>
    <t>2023年度武汉市东西湖区人民政府径河街道办事处项目绩效自评情况汇总表</t>
  </si>
  <si>
    <t>填表人：</t>
  </si>
  <si>
    <t>联系电话：</t>
  </si>
  <si>
    <t>单位：万元</t>
  </si>
  <si>
    <t>序号</t>
  </si>
  <si>
    <t>预算部门</t>
  </si>
  <si>
    <t>项目名称</t>
  </si>
  <si>
    <t>实施科室（单位）</t>
  </si>
  <si>
    <t>全年预算数</t>
  </si>
  <si>
    <t>全年
执行数</t>
  </si>
  <si>
    <t>项目自评得分</t>
  </si>
  <si>
    <t>指标偏差大或未完成原因分析（简要概述）</t>
  </si>
  <si>
    <t>年初
预算数</t>
  </si>
  <si>
    <t>年中追加数/调减数</t>
  </si>
  <si>
    <t>小计</t>
  </si>
  <si>
    <t>预算执行
（20分）</t>
  </si>
  <si>
    <t>成本指标
（20分）</t>
  </si>
  <si>
    <t>产出指标
（20分）</t>
  </si>
  <si>
    <t>效益指标
（30分）</t>
  </si>
  <si>
    <t>满意度指标
（10分）</t>
  </si>
  <si>
    <t>合计</t>
  </si>
  <si>
    <t>径河街道办事处</t>
  </si>
  <si>
    <t>部门整体</t>
  </si>
  <si>
    <t>1.部分指标完成不理想2.指标设置不合理3.指标设置不完整
4.财政资金未拨付到位5.部分资金使用不规范6.成果资料完整度不高或缺失7.部分会计核算不规范</t>
  </si>
  <si>
    <t>过渡费及退地农工生活费</t>
  </si>
  <si>
    <t>房屋征收和土地腾退管理办公室</t>
  </si>
  <si>
    <t>1.会计核算不规范2.部分指标设置不合理3.资金使用不规范
4.指标设置不完整</t>
  </si>
  <si>
    <t>基层环卫经费</t>
  </si>
  <si>
    <t>1.部分绩效目标完成不理想2.指标设置不合理3.会计核算不规范
4.相关资料收集不全或缺失</t>
  </si>
  <si>
    <t>人力资源和社会保障</t>
  </si>
  <si>
    <t>人社办</t>
  </si>
  <si>
    <t>1.部分指标设置不合理2.指标设置不完整</t>
  </si>
  <si>
    <t>下属二级单位运转经费</t>
  </si>
  <si>
    <t>径河街各二级单位</t>
  </si>
  <si>
    <t>1.会计核算不规范2.资金使用不规范3.部分项目绩效目标完成不理想</t>
  </si>
  <si>
    <t>红色物业</t>
  </si>
  <si>
    <t>径河街红色物业</t>
  </si>
  <si>
    <t>1.指标设置不完整</t>
  </si>
  <si>
    <t>弘芯半导体项目东侧场地平整清淤换填工程</t>
  </si>
  <si>
    <t>1.指标设置不完整2.指标设置不合理3.部分绩效目标完成不理想</t>
  </si>
  <si>
    <t>新河苑二期还建小区</t>
  </si>
  <si>
    <t>城建办</t>
  </si>
  <si>
    <t>1.会计核算不规范2.资金使用不规范3.部分绩效目标完成不理想</t>
  </si>
  <si>
    <t>径河街香精香料项目房屋搬迁</t>
  </si>
  <si>
    <t>1.部分绩效目标完成不理想2.成果资料完整度不高或缺失</t>
  </si>
  <si>
    <t>2023年1-6月计生特扶对象失能补贴</t>
  </si>
  <si>
    <t>公服办</t>
  </si>
  <si>
    <t>无</t>
  </si>
  <si>
    <t>2023年高中货币补贴</t>
  </si>
  <si>
    <t>1.指标设置不合理</t>
  </si>
  <si>
    <t>2023年民政局村级党组织惠民项目</t>
  </si>
  <si>
    <t>1.惠民项目预算偏高，实际资金使用率较低</t>
  </si>
  <si>
    <t>2023年民政局社区惠民项目</t>
  </si>
  <si>
    <t>1.资金使用率较低2.部分指标设置不合理</t>
  </si>
  <si>
    <t>2023年社区工作经费预算</t>
  </si>
  <si>
    <t>1.社区工作经费项目预算偏高，实际资金使用率较低2.部分指标设置不合理</t>
  </si>
  <si>
    <t>2023年转业志愿兵1-6月工资社保</t>
  </si>
  <si>
    <t>1.部分指标设置不完整</t>
  </si>
  <si>
    <t>帮扶特殊家庭</t>
  </si>
  <si>
    <t>1.部分指标设置不合理</t>
  </si>
  <si>
    <t>购买商品房安置资金</t>
  </si>
  <si>
    <t>1.购买商品房安置资金项目预算偏高，实际资金使用率较低</t>
  </si>
  <si>
    <t>机关各科室保障运营经费</t>
  </si>
  <si>
    <t>1.部分绩效目标完成不理想 2.资金使用率较低</t>
  </si>
  <si>
    <t>基层公厕经费</t>
  </si>
  <si>
    <t>环卫办</t>
  </si>
  <si>
    <t>基层生活垃圾分类经费</t>
  </si>
  <si>
    <t>民政春节慰问</t>
  </si>
  <si>
    <t>三店老集镇还建楼A区</t>
  </si>
  <si>
    <t>1.部分指标设置不合理 2.该项目连续性项目，部分资料收集不全或者缺失</t>
  </si>
  <si>
    <t>少数民族困难群体春节慰问</t>
  </si>
  <si>
    <t>社会工作与志愿服务培育引导“以奖代补”</t>
  </si>
  <si>
    <t>退役军人公益性岗位2022-2023.06工资社保</t>
  </si>
  <si>
    <t>小型工程修缮</t>
  </si>
  <si>
    <t>新经线（径河段）中心花坛绿化工程</t>
  </si>
  <si>
    <t>严重精神障碍患者以奖代补</t>
  </si>
  <si>
    <t>1.资金使用率较低</t>
  </si>
  <si>
    <t>招商引资</t>
  </si>
  <si>
    <t>经济办</t>
  </si>
  <si>
    <t xml:space="preserve">1.部分绩效目标完成不理想 </t>
  </si>
  <si>
    <t>自然灾害信息员通讯补贴资金</t>
  </si>
  <si>
    <t>综合执法中心执法经费</t>
  </si>
  <si>
    <t>执法中心</t>
  </si>
  <si>
    <t>1.执法中心执法经费项目预算偏高，实际资金使用率较低</t>
  </si>
  <si>
    <t>2023年转业志愿兵7-12月工资社保</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</si>
</sst>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8" formatCode="0.00_ "/>
    <numFmt numFmtId="179" formatCode="#,##0.00_ "/>
  </numFmts>
  <fonts count="8" x14ac:knownFonts="1">
    <font>
      <sz val="11"/>
      <color theme="1"/>
      <name val="宋体"/>
      <charset val="134"/>
      <scheme val="minor"/>
    </font>
    <font>
      <sz val="10"/>
      <name val="仿宋"/>
      <charset val="134"/>
    </font>
    <font>
      <b/>
      <sz val="10"/>
      <name val="仿宋"/>
      <charset val="134"/>
    </font>
    <font>
      <sz val="10"/>
      <color theme="1"/>
      <name val="仿宋"/>
      <charset val="134"/>
    </font>
    <font>
      <sz val="10"/>
      <name val="仿宋"/>
      <family val="3"/>
      <charset val="134"/>
    </font>
    <font>
      <sz val="10"/>
      <color rgb="FF000000"/>
      <name val="仿宋"/>
      <charset val="134"/>
    </font>
    <font>
      <sz val="11"/>
      <color theme="1"/>
      <name val="宋体"/>
      <charset val="134"/>
      <scheme val="minor"/>
    </font>
    <font>
      <sz val="9"/>
      <name val="宋体"/>
      <charset val="134"/>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8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2" borderId="0" xfId="0" applyFont="1" applyFill="1" applyBorder="1" applyAlignment="1">
      <alignment vertical="center"/>
    </xf>
    <xf numFmtId="0" fontId="1" fillId="0" borderId="0" xfId="0" applyFont="1" applyFill="1" applyBorder="1" applyAlignment="1">
      <alignment horizontal="left" vertical="center" wrapText="1"/>
    </xf>
    <xf numFmtId="43"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9" fontId="1" fillId="0" borderId="0" xfId="1" applyFont="1" applyFill="1" applyBorder="1" applyAlignment="1">
      <alignment vertical="center"/>
    </xf>
    <xf numFmtId="178" fontId="1" fillId="0" borderId="0" xfId="0" applyNumberFormat="1" applyFont="1" applyFill="1" applyBorder="1" applyAlignment="1">
      <alignment horizontal="lef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43" fontId="2" fillId="0" borderId="3"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43" fontId="1" fillId="0" borderId="3" xfId="0" applyNumberFormat="1" applyFont="1" applyFill="1" applyBorder="1" applyAlignment="1">
      <alignment horizontal="center" vertical="center" wrapText="1"/>
    </xf>
    <xf numFmtId="178" fontId="1" fillId="0"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43" fontId="4" fillId="2" borderId="2" xfId="0" applyNumberFormat="1" applyFont="1" applyFill="1" applyBorder="1" applyAlignment="1">
      <alignment horizontal="center" vertical="center"/>
    </xf>
    <xf numFmtId="178" fontId="4" fillId="2" borderId="2" xfId="0" applyNumberFormat="1" applyFont="1" applyFill="1" applyBorder="1" applyAlignment="1">
      <alignment horizontal="center" vertical="center"/>
    </xf>
    <xf numFmtId="43" fontId="3" fillId="2" borderId="2" xfId="0" applyNumberFormat="1" applyFont="1" applyFill="1" applyBorder="1" applyAlignment="1">
      <alignment horizontal="center" vertical="center"/>
    </xf>
    <xf numFmtId="43" fontId="1" fillId="2" borderId="2" xfId="0" applyNumberFormat="1" applyFont="1" applyFill="1" applyBorder="1" applyAlignment="1">
      <alignment horizontal="center" vertical="center" wrapText="1"/>
    </xf>
    <xf numFmtId="43" fontId="5" fillId="2"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3" fillId="0" borderId="2" xfId="0" applyFont="1" applyBorder="1" applyAlignment="1">
      <alignment horizontal="left" vertical="center"/>
    </xf>
    <xf numFmtId="0" fontId="4" fillId="0" borderId="2" xfId="0" applyFont="1" applyFill="1" applyBorder="1" applyAlignment="1">
      <alignment horizontal="left" vertical="center" wrapText="1"/>
    </xf>
    <xf numFmtId="43" fontId="3" fillId="0" borderId="2" xfId="0" applyNumberFormat="1" applyFont="1" applyBorder="1" applyAlignment="1">
      <alignment horizontal="center" vertical="center"/>
    </xf>
    <xf numFmtId="43" fontId="4" fillId="0" borderId="2"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0" fontId="3" fillId="0" borderId="2" xfId="0" applyFont="1" applyFill="1" applyBorder="1" applyAlignment="1">
      <alignment horizontal="left" vertical="center"/>
    </xf>
    <xf numFmtId="0" fontId="1" fillId="2" borderId="4" xfId="0" applyFont="1" applyFill="1" applyBorder="1" applyAlignment="1">
      <alignment horizontal="center" vertical="center"/>
    </xf>
    <xf numFmtId="0" fontId="3" fillId="2" borderId="2" xfId="0" applyFont="1" applyFill="1" applyBorder="1" applyAlignment="1">
      <alignment horizontal="left" vertical="center"/>
    </xf>
    <xf numFmtId="0" fontId="4" fillId="2" borderId="2" xfId="0" applyFont="1" applyFill="1" applyBorder="1" applyAlignment="1">
      <alignment horizontal="left" vertical="center" wrapText="1"/>
    </xf>
    <xf numFmtId="0" fontId="3" fillId="3" borderId="2" xfId="0" applyFont="1" applyFill="1" applyBorder="1" applyAlignment="1">
      <alignment horizontal="left" vertical="center"/>
    </xf>
    <xf numFmtId="0" fontId="1" fillId="0" borderId="2" xfId="0" applyFont="1" applyFill="1" applyBorder="1" applyAlignment="1">
      <alignment horizontal="left" vertical="center" wrapText="1"/>
    </xf>
    <xf numFmtId="43" fontId="1" fillId="0" borderId="2"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43" fontId="1" fillId="2" borderId="2"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wrapText="1"/>
    </xf>
    <xf numFmtId="9" fontId="1" fillId="0" borderId="0" xfId="1" applyFont="1" applyFill="1" applyBorder="1" applyAlignment="1">
      <alignment horizontal="center" vertical="center" wrapText="1"/>
    </xf>
    <xf numFmtId="178" fontId="1" fillId="0" borderId="0" xfId="0" applyNumberFormat="1" applyFont="1" applyFill="1" applyBorder="1" applyAlignment="1">
      <alignment horizontal="left" vertical="center" wrapText="1"/>
    </xf>
    <xf numFmtId="9" fontId="2" fillId="0" borderId="5" xfId="1" applyFont="1" applyFill="1" applyBorder="1" applyAlignment="1">
      <alignment horizontal="center" vertical="center" wrapText="1"/>
    </xf>
    <xf numFmtId="9" fontId="2" fillId="0" borderId="3" xfId="1" applyFont="1" applyFill="1" applyBorder="1" applyAlignment="1">
      <alignment horizontal="center" vertical="center" wrapText="1"/>
    </xf>
    <xf numFmtId="0" fontId="2" fillId="0" borderId="2" xfId="0" applyFont="1" applyFill="1" applyBorder="1" applyAlignment="1">
      <alignment horizontal="center" vertical="center" wrapText="1"/>
    </xf>
    <xf numFmtId="178" fontId="2" fillId="0" borderId="2" xfId="0" applyNumberFormat="1" applyFont="1" applyFill="1" applyBorder="1" applyAlignment="1">
      <alignment horizontal="left" vertical="center" wrapText="1"/>
    </xf>
    <xf numFmtId="9" fontId="1" fillId="0" borderId="3" xfId="1" applyFont="1" applyFill="1" applyBorder="1" applyAlignment="1">
      <alignment horizontal="center" vertical="center" wrapText="1"/>
    </xf>
    <xf numFmtId="0" fontId="1" fillId="0" borderId="2" xfId="0" applyFont="1" applyFill="1" applyBorder="1" applyAlignment="1">
      <alignment horizontal="center" vertical="center" wrapText="1"/>
    </xf>
    <xf numFmtId="178" fontId="1" fillId="0" borderId="2" xfId="0" applyNumberFormat="1" applyFont="1" applyFill="1" applyBorder="1" applyAlignment="1">
      <alignment horizontal="left" vertical="center" wrapText="1"/>
    </xf>
    <xf numFmtId="9" fontId="4" fillId="2" borderId="2" xfId="1" applyFont="1" applyFill="1" applyBorder="1" applyAlignment="1">
      <alignment vertical="center"/>
    </xf>
    <xf numFmtId="179" fontId="4" fillId="2" borderId="2" xfId="0" applyNumberFormat="1" applyFont="1" applyFill="1" applyBorder="1" applyAlignment="1">
      <alignment horizontal="center" vertical="center"/>
    </xf>
    <xf numFmtId="178" fontId="4" fillId="2" borderId="2" xfId="0" applyNumberFormat="1" applyFont="1" applyFill="1" applyBorder="1" applyAlignment="1">
      <alignment horizontal="left" vertical="center"/>
    </xf>
    <xf numFmtId="178" fontId="1" fillId="2" borderId="2" xfId="0" applyNumberFormat="1" applyFont="1" applyFill="1" applyBorder="1" applyAlignment="1">
      <alignment horizontal="center" vertical="center"/>
    </xf>
    <xf numFmtId="0" fontId="1" fillId="2" borderId="2" xfId="0" applyFont="1" applyFill="1" applyBorder="1" applyAlignment="1">
      <alignment vertical="center" wrapText="1"/>
    </xf>
    <xf numFmtId="9" fontId="4" fillId="0" borderId="2" xfId="1" applyFont="1" applyFill="1" applyBorder="1" applyAlignment="1">
      <alignment vertical="center"/>
    </xf>
    <xf numFmtId="179" fontId="4" fillId="0" borderId="2" xfId="0" applyNumberFormat="1" applyFont="1" applyFill="1" applyBorder="1" applyAlignment="1">
      <alignment horizontal="center" vertical="center"/>
    </xf>
    <xf numFmtId="178" fontId="4" fillId="0" borderId="2" xfId="0" applyNumberFormat="1" applyFont="1" applyFill="1" applyBorder="1" applyAlignment="1">
      <alignment horizontal="left" vertical="center"/>
    </xf>
    <xf numFmtId="0" fontId="1" fillId="0" borderId="2" xfId="0" applyFont="1" applyFill="1" applyBorder="1" applyAlignment="1">
      <alignment vertical="center" wrapText="1"/>
    </xf>
    <xf numFmtId="178" fontId="1" fillId="0" borderId="2" xfId="0" applyNumberFormat="1" applyFont="1" applyFill="1" applyBorder="1" applyAlignment="1">
      <alignment horizontal="left" vertical="center"/>
    </xf>
    <xf numFmtId="178" fontId="1" fillId="2" borderId="2" xfId="0" applyNumberFormat="1" applyFont="1" applyFill="1" applyBorder="1" applyAlignment="1">
      <alignment horizontal="left" vertical="center"/>
    </xf>
    <xf numFmtId="178" fontId="1" fillId="0" borderId="3" xfId="0" applyNumberFormat="1" applyFont="1" applyFill="1" applyBorder="1" applyAlignment="1">
      <alignment horizontal="left" vertical="center"/>
    </xf>
    <xf numFmtId="0" fontId="1" fillId="0" borderId="3"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43"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78" fontId="2" fillId="0" borderId="6" xfId="0" applyNumberFormat="1" applyFont="1" applyFill="1" applyBorder="1" applyAlignment="1">
      <alignment horizontal="left" vertical="center" wrapText="1"/>
    </xf>
    <xf numFmtId="178" fontId="2" fillId="0" borderId="7"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43" fontId="2" fillId="0" borderId="1" xfId="0" applyNumberFormat="1" applyFont="1" applyFill="1" applyBorder="1" applyAlignment="1">
      <alignment horizontal="center" vertical="center" wrapText="1"/>
    </xf>
    <xf numFmtId="43" fontId="2" fillId="0" borderId="3" xfId="0" applyNumberFormat="1" applyFont="1" applyFill="1" applyBorder="1" applyAlignment="1">
      <alignment horizontal="center" vertical="center" wrapText="1"/>
    </xf>
  </cellXfs>
  <cellStyles count="2">
    <cellStyle name="百分比" xfId="1" builtinId="5"/>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abSelected="1" zoomScale="115" zoomScaleNormal="115" workbookViewId="0">
      <pane xSplit="3" ySplit="4" topLeftCell="H5" activePane="bottomRight" state="frozen"/>
      <selection pane="topRight"/>
      <selection pane="bottomLeft"/>
      <selection pane="bottomRight" sqref="A1:P1"/>
    </sheetView>
  </sheetViews>
  <sheetFormatPr defaultColWidth="9" defaultRowHeight="12" x14ac:dyDescent="0.15"/>
  <cols>
    <col min="1" max="1" width="5.25" style="3" customWidth="1"/>
    <col min="2" max="2" width="18.875" style="1" customWidth="1"/>
    <col min="3" max="3" width="19.75" style="5" customWidth="1"/>
    <col min="4" max="4" width="18" style="5" customWidth="1"/>
    <col min="5" max="5" width="16.875" style="6" customWidth="1"/>
    <col min="6" max="6" width="16.75" style="6" customWidth="1"/>
    <col min="7" max="7" width="16.375" style="7" customWidth="1"/>
    <col min="8" max="8" width="16.875" style="6" customWidth="1"/>
    <col min="9" max="9" width="9.5" style="8" customWidth="1"/>
    <col min="10" max="10" width="13.375" style="3" customWidth="1"/>
    <col min="11" max="11" width="10" style="9" customWidth="1"/>
    <col min="12" max="13" width="9" style="9" customWidth="1"/>
    <col min="14" max="14" width="10.375" style="9" customWidth="1"/>
    <col min="15" max="15" width="10.375" style="7" customWidth="1"/>
    <col min="16" max="16" width="57.125" style="10" customWidth="1"/>
    <col min="17" max="16384" width="9" style="1"/>
  </cols>
  <sheetData>
    <row r="1" spans="1:16" ht="29.1" customHeight="1" x14ac:dyDescent="0.15">
      <c r="A1" s="67" t="s">
        <v>0</v>
      </c>
      <c r="B1" s="67"/>
      <c r="C1" s="67"/>
      <c r="D1" s="67"/>
      <c r="E1" s="67"/>
      <c r="F1" s="67"/>
      <c r="G1" s="67"/>
      <c r="H1" s="67"/>
      <c r="I1" s="67"/>
      <c r="J1" s="67"/>
      <c r="K1" s="67"/>
      <c r="L1" s="67"/>
      <c r="M1" s="67"/>
      <c r="N1" s="67"/>
      <c r="O1" s="67"/>
      <c r="P1" s="67"/>
    </row>
    <row r="2" spans="1:16" x14ac:dyDescent="0.15">
      <c r="A2" s="68" t="s">
        <v>1</v>
      </c>
      <c r="B2" s="68"/>
      <c r="E2" s="69" t="s">
        <v>2</v>
      </c>
      <c r="F2" s="69"/>
      <c r="G2" s="13"/>
      <c r="H2" s="12"/>
      <c r="I2" s="45"/>
      <c r="J2" s="11"/>
      <c r="K2" s="46"/>
      <c r="L2" s="46"/>
      <c r="M2" s="46"/>
      <c r="N2" s="46"/>
      <c r="O2" s="13"/>
      <c r="P2" s="11" t="s">
        <v>3</v>
      </c>
    </row>
    <row r="3" spans="1:16" s="2" customFormat="1" ht="18.95" customHeight="1" x14ac:dyDescent="0.15">
      <c r="A3" s="75" t="s">
        <v>4</v>
      </c>
      <c r="B3" s="75" t="s">
        <v>5</v>
      </c>
      <c r="C3" s="77" t="s">
        <v>6</v>
      </c>
      <c r="D3" s="77" t="s">
        <v>7</v>
      </c>
      <c r="E3" s="70" t="s">
        <v>8</v>
      </c>
      <c r="F3" s="70"/>
      <c r="G3" s="71"/>
      <c r="H3" s="79" t="s">
        <v>9</v>
      </c>
      <c r="I3" s="47"/>
      <c r="J3" s="72" t="s">
        <v>10</v>
      </c>
      <c r="K3" s="73"/>
      <c r="L3" s="73"/>
      <c r="M3" s="73"/>
      <c r="N3" s="73"/>
      <c r="O3" s="74"/>
      <c r="P3" s="75" t="s">
        <v>11</v>
      </c>
    </row>
    <row r="4" spans="1:16" s="2" customFormat="1" ht="24" x14ac:dyDescent="0.15">
      <c r="A4" s="76"/>
      <c r="B4" s="76"/>
      <c r="C4" s="78"/>
      <c r="D4" s="78"/>
      <c r="E4" s="15" t="s">
        <v>12</v>
      </c>
      <c r="F4" s="15" t="s">
        <v>13</v>
      </c>
      <c r="G4" s="16" t="s">
        <v>14</v>
      </c>
      <c r="H4" s="80"/>
      <c r="I4" s="48"/>
      <c r="J4" s="49" t="s">
        <v>15</v>
      </c>
      <c r="K4" s="50" t="s">
        <v>16</v>
      </c>
      <c r="L4" s="50" t="s">
        <v>17</v>
      </c>
      <c r="M4" s="50" t="s">
        <v>18</v>
      </c>
      <c r="N4" s="50" t="s">
        <v>19</v>
      </c>
      <c r="O4" s="14" t="s">
        <v>20</v>
      </c>
      <c r="P4" s="76"/>
    </row>
    <row r="5" spans="1:16" s="3" customFormat="1" ht="20.100000000000001" customHeight="1" x14ac:dyDescent="0.15">
      <c r="A5" s="17"/>
      <c r="B5" s="17" t="s">
        <v>21</v>
      </c>
      <c r="C5" s="18" t="s">
        <v>22</v>
      </c>
      <c r="D5" s="18" t="s">
        <v>21</v>
      </c>
      <c r="E5" s="19">
        <f>1021852348.16/10000</f>
        <v>102185.234816</v>
      </c>
      <c r="F5" s="19">
        <f>-65901400/10000</f>
        <v>-6590.14</v>
      </c>
      <c r="G5" s="20">
        <f>955950948.16/10000</f>
        <v>95595.094815999997</v>
      </c>
      <c r="H5" s="19">
        <v>81672.5</v>
      </c>
      <c r="I5" s="51"/>
      <c r="J5" s="52">
        <v>17.09</v>
      </c>
      <c r="K5" s="53">
        <v>18</v>
      </c>
      <c r="L5" s="53">
        <v>16.5</v>
      </c>
      <c r="M5" s="53">
        <v>28</v>
      </c>
      <c r="N5" s="53">
        <v>8</v>
      </c>
      <c r="O5" s="44">
        <f>J5+K5+L5+M5+N5</f>
        <v>87.59</v>
      </c>
      <c r="P5" s="18" t="s">
        <v>23</v>
      </c>
    </row>
    <row r="6" spans="1:16" s="4" customFormat="1" ht="20.100000000000001" customHeight="1" x14ac:dyDescent="0.15">
      <c r="A6" s="21">
        <v>1</v>
      </c>
      <c r="B6" s="21" t="s">
        <v>21</v>
      </c>
      <c r="C6" s="22" t="s">
        <v>24</v>
      </c>
      <c r="D6" s="22" t="s">
        <v>25</v>
      </c>
      <c r="E6" s="23">
        <f>235850215.86/10000</f>
        <v>23585.021585999999</v>
      </c>
      <c r="F6" s="23">
        <f>-64901400/10000</f>
        <v>-6490.14</v>
      </c>
      <c r="G6" s="24">
        <f t="shared" ref="G6:G13" si="0">E6+F6</f>
        <v>17094.881586</v>
      </c>
      <c r="H6" s="25">
        <v>15234.92</v>
      </c>
      <c r="I6" s="54">
        <f>H6/G6</f>
        <v>0.89119774965137899</v>
      </c>
      <c r="J6" s="55">
        <f>20*I6</f>
        <v>17.823954993027598</v>
      </c>
      <c r="K6" s="56">
        <v>20</v>
      </c>
      <c r="L6" s="56">
        <v>19</v>
      </c>
      <c r="M6" s="56">
        <v>24</v>
      </c>
      <c r="N6" s="56">
        <v>8</v>
      </c>
      <c r="O6" s="57">
        <f>J6+K6+L6+M6+N6</f>
        <v>88.823954993027598</v>
      </c>
      <c r="P6" s="58" t="s">
        <v>26</v>
      </c>
    </row>
    <row r="7" spans="1:16" s="4" customFormat="1" ht="20.100000000000001" customHeight="1" x14ac:dyDescent="0.15">
      <c r="A7" s="21">
        <v>2</v>
      </c>
      <c r="B7" s="21" t="s">
        <v>21</v>
      </c>
      <c r="C7" s="22" t="s">
        <v>27</v>
      </c>
      <c r="D7" s="22" t="s">
        <v>21</v>
      </c>
      <c r="E7" s="23">
        <f>32620720/10000</f>
        <v>3262.0720000000001</v>
      </c>
      <c r="F7" s="23"/>
      <c r="G7" s="24">
        <f t="shared" si="0"/>
        <v>3262.0720000000001</v>
      </c>
      <c r="H7" s="26">
        <v>3202</v>
      </c>
      <c r="I7" s="54">
        <f t="shared" ref="I7:I36" si="1">H7/G7</f>
        <v>0.98158471057659102</v>
      </c>
      <c r="J7" s="55">
        <f>20*I7</f>
        <v>19.631694211531801</v>
      </c>
      <c r="K7" s="56">
        <v>19</v>
      </c>
      <c r="L7" s="56">
        <v>17</v>
      </c>
      <c r="M7" s="56">
        <v>16</v>
      </c>
      <c r="N7" s="56">
        <v>10</v>
      </c>
      <c r="O7" s="57">
        <f t="shared" ref="O7:O23" si="2">J7+K7+L7+M7+N7</f>
        <v>81.631694211531794</v>
      </c>
      <c r="P7" s="58" t="s">
        <v>28</v>
      </c>
    </row>
    <row r="8" spans="1:16" s="4" customFormat="1" ht="20.100000000000001" customHeight="1" x14ac:dyDescent="0.15">
      <c r="A8" s="21">
        <v>3</v>
      </c>
      <c r="B8" s="21" t="s">
        <v>21</v>
      </c>
      <c r="C8" s="22" t="s">
        <v>29</v>
      </c>
      <c r="D8" s="22" t="s">
        <v>30</v>
      </c>
      <c r="E8" s="23">
        <f>33600000/10000</f>
        <v>3360</v>
      </c>
      <c r="F8" s="23"/>
      <c r="G8" s="24">
        <f t="shared" si="0"/>
        <v>3360</v>
      </c>
      <c r="H8" s="27">
        <v>3360</v>
      </c>
      <c r="I8" s="54">
        <f t="shared" si="1"/>
        <v>1</v>
      </c>
      <c r="J8" s="55">
        <f>20*I8</f>
        <v>20</v>
      </c>
      <c r="K8" s="56">
        <v>20</v>
      </c>
      <c r="L8" s="56">
        <v>20</v>
      </c>
      <c r="M8" s="56">
        <v>24</v>
      </c>
      <c r="N8" s="56">
        <v>10</v>
      </c>
      <c r="O8" s="57">
        <f t="shared" si="2"/>
        <v>94</v>
      </c>
      <c r="P8" s="58" t="s">
        <v>31</v>
      </c>
    </row>
    <row r="9" spans="1:16" s="4" customFormat="1" ht="20.100000000000001" customHeight="1" x14ac:dyDescent="0.15">
      <c r="A9" s="21">
        <v>4</v>
      </c>
      <c r="B9" s="21" t="s">
        <v>21</v>
      </c>
      <c r="C9" s="22" t="s">
        <v>32</v>
      </c>
      <c r="D9" s="22" t="s">
        <v>33</v>
      </c>
      <c r="E9" s="23">
        <f>84132000/10000</f>
        <v>8413.2000000000007</v>
      </c>
      <c r="F9" s="23">
        <f>-250000/10000</f>
        <v>-25</v>
      </c>
      <c r="G9" s="24">
        <f t="shared" si="0"/>
        <v>8388.2000000000007</v>
      </c>
      <c r="H9" s="25">
        <v>7981.24</v>
      </c>
      <c r="I9" s="54">
        <f t="shared" si="1"/>
        <v>0.95148422784387598</v>
      </c>
      <c r="J9" s="55">
        <f t="shared" ref="J9:J36" si="3">20*I9</f>
        <v>19.029684556877498</v>
      </c>
      <c r="K9" s="56">
        <v>20</v>
      </c>
      <c r="L9" s="56">
        <v>17</v>
      </c>
      <c r="M9" s="56">
        <v>30</v>
      </c>
      <c r="N9" s="56">
        <v>5</v>
      </c>
      <c r="O9" s="57">
        <f t="shared" si="2"/>
        <v>91.029684556877498</v>
      </c>
      <c r="P9" s="58" t="s">
        <v>34</v>
      </c>
    </row>
    <row r="10" spans="1:16" s="4" customFormat="1" ht="20.100000000000001" customHeight="1" x14ac:dyDescent="0.15">
      <c r="A10" s="21">
        <v>5</v>
      </c>
      <c r="B10" s="21" t="s">
        <v>21</v>
      </c>
      <c r="C10" s="22" t="s">
        <v>35</v>
      </c>
      <c r="D10" s="22" t="s">
        <v>36</v>
      </c>
      <c r="E10" s="23">
        <f>11047000/10000</f>
        <v>1104.7</v>
      </c>
      <c r="F10" s="23"/>
      <c r="G10" s="24">
        <f t="shared" si="0"/>
        <v>1104.7</v>
      </c>
      <c r="H10" s="26">
        <v>1104.7</v>
      </c>
      <c r="I10" s="54">
        <f t="shared" si="1"/>
        <v>1</v>
      </c>
      <c r="J10" s="55">
        <f t="shared" si="3"/>
        <v>20</v>
      </c>
      <c r="K10" s="56">
        <v>20</v>
      </c>
      <c r="L10" s="56">
        <v>18</v>
      </c>
      <c r="M10" s="56">
        <v>30</v>
      </c>
      <c r="N10" s="56">
        <v>10</v>
      </c>
      <c r="O10" s="57">
        <f t="shared" si="2"/>
        <v>98</v>
      </c>
      <c r="P10" s="58" t="s">
        <v>37</v>
      </c>
    </row>
    <row r="11" spans="1:16" s="4" customFormat="1" ht="20.100000000000001" customHeight="1" x14ac:dyDescent="0.15">
      <c r="A11" s="21">
        <v>6</v>
      </c>
      <c r="B11" s="21" t="s">
        <v>21</v>
      </c>
      <c r="C11" s="22" t="s">
        <v>38</v>
      </c>
      <c r="D11" s="22" t="s">
        <v>21</v>
      </c>
      <c r="E11" s="23">
        <f>10000000/10000</f>
        <v>1000</v>
      </c>
      <c r="F11" s="23"/>
      <c r="G11" s="24">
        <f t="shared" si="0"/>
        <v>1000</v>
      </c>
      <c r="H11" s="26">
        <v>1000</v>
      </c>
      <c r="I11" s="54">
        <f t="shared" si="1"/>
        <v>1</v>
      </c>
      <c r="J11" s="55">
        <f t="shared" si="3"/>
        <v>20</v>
      </c>
      <c r="K11" s="56">
        <v>20</v>
      </c>
      <c r="L11" s="56">
        <v>16</v>
      </c>
      <c r="M11" s="56">
        <v>15</v>
      </c>
      <c r="N11" s="56">
        <v>8</v>
      </c>
      <c r="O11" s="57">
        <f t="shared" si="2"/>
        <v>79</v>
      </c>
      <c r="P11" s="58" t="s">
        <v>39</v>
      </c>
    </row>
    <row r="12" spans="1:16" s="4" customFormat="1" ht="18.95" customHeight="1" x14ac:dyDescent="0.15">
      <c r="A12" s="21">
        <v>7</v>
      </c>
      <c r="B12" s="21" t="s">
        <v>21</v>
      </c>
      <c r="C12" s="22" t="s">
        <v>40</v>
      </c>
      <c r="D12" s="22" t="s">
        <v>41</v>
      </c>
      <c r="E12" s="23">
        <f>13930000/10000</f>
        <v>1393</v>
      </c>
      <c r="F12" s="23"/>
      <c r="G12" s="24">
        <f t="shared" si="0"/>
        <v>1393</v>
      </c>
      <c r="H12" s="26">
        <v>1134.6099999999999</v>
      </c>
      <c r="I12" s="54">
        <f t="shared" si="1"/>
        <v>0.81450825556353201</v>
      </c>
      <c r="J12" s="55">
        <f t="shared" si="3"/>
        <v>16.2901651112706</v>
      </c>
      <c r="K12" s="56">
        <v>20</v>
      </c>
      <c r="L12" s="56">
        <v>17</v>
      </c>
      <c r="M12" s="56">
        <v>20</v>
      </c>
      <c r="N12" s="56">
        <v>5</v>
      </c>
      <c r="O12" s="57">
        <f t="shared" si="2"/>
        <v>78.290165111270596</v>
      </c>
      <c r="P12" s="58" t="s">
        <v>42</v>
      </c>
    </row>
    <row r="13" spans="1:16" s="4" customFormat="1" ht="20.100000000000001" customHeight="1" x14ac:dyDescent="0.15">
      <c r="A13" s="21">
        <v>8</v>
      </c>
      <c r="B13" s="21" t="s">
        <v>21</v>
      </c>
      <c r="C13" s="22" t="s">
        <v>43</v>
      </c>
      <c r="D13" s="22" t="s">
        <v>25</v>
      </c>
      <c r="E13" s="23">
        <f>16865130.3/10000</f>
        <v>1686.5130300000001</v>
      </c>
      <c r="F13" s="23"/>
      <c r="G13" s="24">
        <f t="shared" si="0"/>
        <v>1686.5130300000001</v>
      </c>
      <c r="H13" s="25">
        <v>1668</v>
      </c>
      <c r="I13" s="54">
        <f t="shared" si="1"/>
        <v>0.98902289536416998</v>
      </c>
      <c r="J13" s="55">
        <f t="shared" si="3"/>
        <v>19.780457907283399</v>
      </c>
      <c r="K13" s="56">
        <v>20</v>
      </c>
      <c r="L13" s="56">
        <v>20</v>
      </c>
      <c r="M13" s="56">
        <v>24</v>
      </c>
      <c r="N13" s="56">
        <v>5</v>
      </c>
      <c r="O13" s="57">
        <f t="shared" si="2"/>
        <v>88.780457907283406</v>
      </c>
      <c r="P13" s="58" t="s">
        <v>44</v>
      </c>
    </row>
    <row r="14" spans="1:16" ht="20.100000000000001" customHeight="1" x14ac:dyDescent="0.15">
      <c r="A14" s="28">
        <v>9</v>
      </c>
      <c r="B14" s="29" t="s">
        <v>21</v>
      </c>
      <c r="C14" s="30" t="s">
        <v>45</v>
      </c>
      <c r="D14" s="31" t="s">
        <v>46</v>
      </c>
      <c r="E14" s="32">
        <v>1.05</v>
      </c>
      <c r="F14" s="33"/>
      <c r="G14" s="34">
        <f t="shared" ref="G14:G36" si="4">E14+F14</f>
        <v>1.05</v>
      </c>
      <c r="H14" s="32">
        <v>1.05</v>
      </c>
      <c r="I14" s="59">
        <f t="shared" si="1"/>
        <v>1</v>
      </c>
      <c r="J14" s="60">
        <f t="shared" si="3"/>
        <v>20</v>
      </c>
      <c r="K14" s="61">
        <v>20</v>
      </c>
      <c r="L14" s="61">
        <v>20</v>
      </c>
      <c r="M14" s="61">
        <v>20</v>
      </c>
      <c r="N14" s="61">
        <v>10</v>
      </c>
      <c r="O14" s="57">
        <f t="shared" si="2"/>
        <v>90</v>
      </c>
      <c r="P14" s="62" t="s">
        <v>47</v>
      </c>
    </row>
    <row r="15" spans="1:16" ht="20.100000000000001" customHeight="1" x14ac:dyDescent="0.15">
      <c r="A15" s="28">
        <v>10</v>
      </c>
      <c r="B15" s="29" t="s">
        <v>21</v>
      </c>
      <c r="C15" s="30" t="s">
        <v>48</v>
      </c>
      <c r="D15" s="31" t="s">
        <v>46</v>
      </c>
      <c r="E15" s="32">
        <v>1.55</v>
      </c>
      <c r="F15" s="33"/>
      <c r="G15" s="34">
        <f t="shared" si="4"/>
        <v>1.55</v>
      </c>
      <c r="H15" s="32">
        <v>1.55</v>
      </c>
      <c r="I15" s="59">
        <f t="shared" si="1"/>
        <v>1</v>
      </c>
      <c r="J15" s="60">
        <f t="shared" si="3"/>
        <v>20</v>
      </c>
      <c r="K15" s="61">
        <v>20</v>
      </c>
      <c r="L15" s="61">
        <v>20</v>
      </c>
      <c r="M15" s="61">
        <v>18</v>
      </c>
      <c r="N15" s="61">
        <v>10</v>
      </c>
      <c r="O15" s="57">
        <f t="shared" si="2"/>
        <v>88</v>
      </c>
      <c r="P15" s="62" t="s">
        <v>49</v>
      </c>
    </row>
    <row r="16" spans="1:16" ht="20.100000000000001" customHeight="1" x14ac:dyDescent="0.15">
      <c r="A16" s="28">
        <v>11</v>
      </c>
      <c r="B16" s="29" t="s">
        <v>21</v>
      </c>
      <c r="C16" s="30" t="s">
        <v>50</v>
      </c>
      <c r="D16" s="31" t="s">
        <v>46</v>
      </c>
      <c r="E16" s="32">
        <f>100000/10000</f>
        <v>10</v>
      </c>
      <c r="F16" s="33"/>
      <c r="G16" s="34">
        <f t="shared" si="4"/>
        <v>10</v>
      </c>
      <c r="H16" s="32">
        <f>11835/10000</f>
        <v>1.1835</v>
      </c>
      <c r="I16" s="59">
        <f t="shared" si="1"/>
        <v>0.11835</v>
      </c>
      <c r="J16" s="60">
        <f t="shared" si="3"/>
        <v>2.367</v>
      </c>
      <c r="K16" s="61">
        <v>20</v>
      </c>
      <c r="L16" s="61">
        <v>19</v>
      </c>
      <c r="M16" s="61">
        <v>23</v>
      </c>
      <c r="N16" s="61">
        <v>10</v>
      </c>
      <c r="O16" s="57">
        <f t="shared" si="2"/>
        <v>74.367000000000004</v>
      </c>
      <c r="P16" s="62" t="s">
        <v>51</v>
      </c>
    </row>
    <row r="17" spans="1:16" ht="20.100000000000001" customHeight="1" x14ac:dyDescent="0.15">
      <c r="A17" s="28">
        <v>12</v>
      </c>
      <c r="B17" s="29" t="s">
        <v>21</v>
      </c>
      <c r="C17" s="30" t="s">
        <v>52</v>
      </c>
      <c r="D17" s="31" t="s">
        <v>46</v>
      </c>
      <c r="E17" s="32">
        <f>3450000/10000</f>
        <v>345</v>
      </c>
      <c r="F17" s="33">
        <f>-450000/10000</f>
        <v>-45</v>
      </c>
      <c r="G17" s="34">
        <f t="shared" si="4"/>
        <v>300</v>
      </c>
      <c r="H17" s="32">
        <f>922306.03/10000</f>
        <v>92.230603000000002</v>
      </c>
      <c r="I17" s="59">
        <f t="shared" si="1"/>
        <v>0.307435343333333</v>
      </c>
      <c r="J17" s="60">
        <f t="shared" si="3"/>
        <v>6.1487068666666698</v>
      </c>
      <c r="K17" s="61">
        <v>20</v>
      </c>
      <c r="L17" s="61">
        <v>18</v>
      </c>
      <c r="M17" s="61">
        <v>21</v>
      </c>
      <c r="N17" s="61">
        <v>10</v>
      </c>
      <c r="O17" s="57">
        <f t="shared" si="2"/>
        <v>75.1487068666667</v>
      </c>
      <c r="P17" s="62" t="s">
        <v>53</v>
      </c>
    </row>
    <row r="18" spans="1:16" ht="20.100000000000001" customHeight="1" x14ac:dyDescent="0.15">
      <c r="A18" s="28">
        <v>13</v>
      </c>
      <c r="B18" s="29" t="s">
        <v>21</v>
      </c>
      <c r="C18" s="30" t="s">
        <v>54</v>
      </c>
      <c r="D18" s="31" t="s">
        <v>46</v>
      </c>
      <c r="E18" s="32">
        <f>2447640/10000</f>
        <v>244.76400000000001</v>
      </c>
      <c r="F18" s="33"/>
      <c r="G18" s="34">
        <f t="shared" si="4"/>
        <v>244.76400000000001</v>
      </c>
      <c r="H18" s="32">
        <f>65741.4/10000</f>
        <v>6.5741399999999999</v>
      </c>
      <c r="I18" s="59">
        <f t="shared" si="1"/>
        <v>2.68590969260185E-2</v>
      </c>
      <c r="J18" s="60">
        <f t="shared" si="3"/>
        <v>0.53718193852037099</v>
      </c>
      <c r="K18" s="61">
        <v>20</v>
      </c>
      <c r="L18" s="61">
        <v>18</v>
      </c>
      <c r="M18" s="61">
        <v>23</v>
      </c>
      <c r="N18" s="61">
        <v>10</v>
      </c>
      <c r="O18" s="57">
        <f t="shared" si="2"/>
        <v>71.537181938520405</v>
      </c>
      <c r="P18" s="62" t="s">
        <v>55</v>
      </c>
    </row>
    <row r="19" spans="1:16" ht="20.100000000000001" customHeight="1" x14ac:dyDescent="0.15">
      <c r="A19" s="28">
        <v>14</v>
      </c>
      <c r="B19" s="29" t="s">
        <v>21</v>
      </c>
      <c r="C19" s="35" t="s">
        <v>56</v>
      </c>
      <c r="D19" s="31"/>
      <c r="E19" s="32">
        <f>444422.81/10000</f>
        <v>44.442281000000001</v>
      </c>
      <c r="F19" s="33"/>
      <c r="G19" s="34">
        <f t="shared" si="4"/>
        <v>44.442281000000001</v>
      </c>
      <c r="H19" s="32">
        <f>331680.41/10000</f>
        <v>33.168041000000002</v>
      </c>
      <c r="I19" s="59">
        <f t="shared" si="1"/>
        <v>0.74631725135800298</v>
      </c>
      <c r="J19" s="60">
        <f t="shared" si="3"/>
        <v>14.926345027160099</v>
      </c>
      <c r="K19" s="61">
        <v>20</v>
      </c>
      <c r="L19" s="61">
        <v>20</v>
      </c>
      <c r="M19" s="61">
        <v>21</v>
      </c>
      <c r="N19" s="61">
        <v>10</v>
      </c>
      <c r="O19" s="57">
        <f t="shared" si="2"/>
        <v>85.926345027160096</v>
      </c>
      <c r="P19" s="62" t="s">
        <v>57</v>
      </c>
    </row>
    <row r="20" spans="1:16" ht="20.100000000000001" customHeight="1" x14ac:dyDescent="0.15">
      <c r="A20" s="28">
        <v>15</v>
      </c>
      <c r="B20" s="29" t="s">
        <v>21</v>
      </c>
      <c r="C20" s="35" t="s">
        <v>58</v>
      </c>
      <c r="D20" s="31" t="s">
        <v>46</v>
      </c>
      <c r="E20" s="32">
        <v>2.1800000000000002</v>
      </c>
      <c r="F20" s="33"/>
      <c r="G20" s="34">
        <f t="shared" si="4"/>
        <v>2.1800000000000002</v>
      </c>
      <c r="H20" s="32">
        <f>8600/10000</f>
        <v>0.86</v>
      </c>
      <c r="I20" s="59">
        <f t="shared" si="1"/>
        <v>0.394495412844037</v>
      </c>
      <c r="J20" s="60">
        <f t="shared" si="3"/>
        <v>7.8899082568807302</v>
      </c>
      <c r="K20" s="61">
        <v>20</v>
      </c>
      <c r="L20" s="61">
        <v>20</v>
      </c>
      <c r="M20" s="61">
        <v>23</v>
      </c>
      <c r="N20" s="61">
        <v>10</v>
      </c>
      <c r="O20" s="57">
        <f t="shared" si="2"/>
        <v>80.889908256880702</v>
      </c>
      <c r="P20" s="62" t="s">
        <v>59</v>
      </c>
    </row>
    <row r="21" spans="1:16" ht="20.100000000000001" customHeight="1" x14ac:dyDescent="0.15">
      <c r="A21" s="28">
        <v>16</v>
      </c>
      <c r="B21" s="29" t="s">
        <v>21</v>
      </c>
      <c r="C21" s="30" t="s">
        <v>60</v>
      </c>
      <c r="D21" s="31"/>
      <c r="E21" s="32">
        <f>28470000/10000</f>
        <v>2847</v>
      </c>
      <c r="F21" s="33"/>
      <c r="G21" s="34">
        <f t="shared" si="4"/>
        <v>2847</v>
      </c>
      <c r="H21" s="32">
        <f>6559244.2/10000</f>
        <v>655.92442000000005</v>
      </c>
      <c r="I21" s="59">
        <f t="shared" si="1"/>
        <v>0.23039143659993</v>
      </c>
      <c r="J21" s="60">
        <f t="shared" si="3"/>
        <v>4.6078287319986</v>
      </c>
      <c r="K21" s="61">
        <v>14</v>
      </c>
      <c r="L21" s="61">
        <v>20</v>
      </c>
      <c r="M21" s="61">
        <v>24</v>
      </c>
      <c r="N21" s="61">
        <v>8</v>
      </c>
      <c r="O21" s="57">
        <f t="shared" si="2"/>
        <v>70.607828731998595</v>
      </c>
      <c r="P21" s="62" t="s">
        <v>61</v>
      </c>
    </row>
    <row r="22" spans="1:16" s="4" customFormat="1" ht="20.100000000000001" customHeight="1" x14ac:dyDescent="0.15">
      <c r="A22" s="21">
        <v>17</v>
      </c>
      <c r="B22" s="36" t="s">
        <v>21</v>
      </c>
      <c r="C22" s="37" t="s">
        <v>62</v>
      </c>
      <c r="D22" s="38"/>
      <c r="E22" s="25">
        <f>16235000/10000</f>
        <v>1623.5</v>
      </c>
      <c r="F22" s="23"/>
      <c r="G22" s="24">
        <f t="shared" si="4"/>
        <v>1623.5</v>
      </c>
      <c r="H22" s="25">
        <f>6221746.75/10000</f>
        <v>622.17467499999998</v>
      </c>
      <c r="I22" s="54">
        <f t="shared" si="1"/>
        <v>0.38323047428395401</v>
      </c>
      <c r="J22" s="55">
        <f t="shared" si="3"/>
        <v>7.6646094856790903</v>
      </c>
      <c r="K22" s="56">
        <v>20</v>
      </c>
      <c r="L22" s="56">
        <v>17.5</v>
      </c>
      <c r="M22" s="56">
        <v>27</v>
      </c>
      <c r="N22" s="56">
        <v>8</v>
      </c>
      <c r="O22" s="57">
        <f t="shared" si="2"/>
        <v>80.164609485679094</v>
      </c>
      <c r="P22" s="58" t="s">
        <v>63</v>
      </c>
    </row>
    <row r="23" spans="1:16" ht="20.100000000000001" customHeight="1" x14ac:dyDescent="0.15">
      <c r="A23" s="28">
        <v>18</v>
      </c>
      <c r="B23" s="29" t="s">
        <v>21</v>
      </c>
      <c r="C23" s="30" t="s">
        <v>64</v>
      </c>
      <c r="D23" s="31" t="s">
        <v>65</v>
      </c>
      <c r="E23" s="32">
        <f>200000/10000</f>
        <v>20</v>
      </c>
      <c r="F23" s="33"/>
      <c r="G23" s="34">
        <f t="shared" si="4"/>
        <v>20</v>
      </c>
      <c r="H23" s="32">
        <f>200000/10000</f>
        <v>20</v>
      </c>
      <c r="I23" s="59">
        <f t="shared" si="1"/>
        <v>1</v>
      </c>
      <c r="J23" s="60">
        <f t="shared" si="3"/>
        <v>20</v>
      </c>
      <c r="K23" s="61">
        <v>20</v>
      </c>
      <c r="L23" s="61">
        <v>20</v>
      </c>
      <c r="M23" s="61">
        <v>25</v>
      </c>
      <c r="N23" s="61">
        <v>10</v>
      </c>
      <c r="O23" s="57">
        <f t="shared" si="2"/>
        <v>95</v>
      </c>
      <c r="P23" s="62" t="s">
        <v>47</v>
      </c>
    </row>
    <row r="24" spans="1:16" ht="20.100000000000001" customHeight="1" x14ac:dyDescent="0.15">
      <c r="A24" s="28">
        <v>19</v>
      </c>
      <c r="B24" s="29" t="s">
        <v>21</v>
      </c>
      <c r="C24" s="30" t="s">
        <v>66</v>
      </c>
      <c r="D24" s="31" t="s">
        <v>65</v>
      </c>
      <c r="E24" s="32">
        <f>3200000/10000</f>
        <v>320</v>
      </c>
      <c r="F24" s="33"/>
      <c r="G24" s="34">
        <f t="shared" si="4"/>
        <v>320</v>
      </c>
      <c r="H24" s="32">
        <f>3200000/10000</f>
        <v>320</v>
      </c>
      <c r="I24" s="59">
        <f t="shared" si="1"/>
        <v>1</v>
      </c>
      <c r="J24" s="60">
        <f t="shared" si="3"/>
        <v>20</v>
      </c>
      <c r="K24" s="61">
        <v>20</v>
      </c>
      <c r="L24" s="61">
        <v>20</v>
      </c>
      <c r="M24" s="61">
        <v>25</v>
      </c>
      <c r="N24" s="61">
        <v>10</v>
      </c>
      <c r="O24" s="57">
        <f t="shared" ref="O24:O36" si="5">J24+K24+L24+M24+N24</f>
        <v>95</v>
      </c>
      <c r="P24" s="62" t="s">
        <v>47</v>
      </c>
    </row>
    <row r="25" spans="1:16" ht="20.100000000000001" customHeight="1" x14ac:dyDescent="0.15">
      <c r="A25" s="28">
        <v>20</v>
      </c>
      <c r="B25" s="29" t="s">
        <v>21</v>
      </c>
      <c r="C25" s="39" t="s">
        <v>67</v>
      </c>
      <c r="D25" s="31"/>
      <c r="E25" s="32">
        <f>53500/10000</f>
        <v>5.35</v>
      </c>
      <c r="F25" s="33"/>
      <c r="G25" s="34">
        <f t="shared" si="4"/>
        <v>5.35</v>
      </c>
      <c r="H25" s="32">
        <f>53500/10000</f>
        <v>5.35</v>
      </c>
      <c r="I25" s="59">
        <f t="shared" si="1"/>
        <v>1</v>
      </c>
      <c r="J25" s="60">
        <f t="shared" si="3"/>
        <v>20</v>
      </c>
      <c r="K25" s="61">
        <v>20</v>
      </c>
      <c r="L25" s="61">
        <v>20</v>
      </c>
      <c r="M25" s="61">
        <v>23</v>
      </c>
      <c r="N25" s="61">
        <v>8</v>
      </c>
      <c r="O25" s="57">
        <f t="shared" si="5"/>
        <v>91</v>
      </c>
      <c r="P25" s="62" t="s">
        <v>49</v>
      </c>
    </row>
    <row r="26" spans="1:16" ht="20.100000000000001" customHeight="1" x14ac:dyDescent="0.15">
      <c r="A26" s="28">
        <v>21</v>
      </c>
      <c r="B26" s="29" t="s">
        <v>21</v>
      </c>
      <c r="C26" s="35" t="s">
        <v>68</v>
      </c>
      <c r="D26" s="31" t="s">
        <v>41</v>
      </c>
      <c r="E26" s="32">
        <f>4287753.67/10000</f>
        <v>428.77536700000002</v>
      </c>
      <c r="F26" s="33"/>
      <c r="G26" s="34">
        <f t="shared" si="4"/>
        <v>428.77536700000002</v>
      </c>
      <c r="H26" s="32">
        <f>62510/10000</f>
        <v>6.2510000000000003</v>
      </c>
      <c r="I26" s="59">
        <f t="shared" si="1"/>
        <v>1.4578729286004E-2</v>
      </c>
      <c r="J26" s="60">
        <f t="shared" si="3"/>
        <v>0.29157458572007899</v>
      </c>
      <c r="K26" s="61">
        <v>20</v>
      </c>
      <c r="L26" s="61">
        <v>20</v>
      </c>
      <c r="M26" s="61">
        <v>26</v>
      </c>
      <c r="N26" s="61">
        <v>10</v>
      </c>
      <c r="O26" s="57">
        <f t="shared" si="5"/>
        <v>76.291574585720099</v>
      </c>
      <c r="P26" s="62" t="s">
        <v>69</v>
      </c>
    </row>
    <row r="27" spans="1:16" ht="20.100000000000001" customHeight="1" x14ac:dyDescent="0.15">
      <c r="A27" s="28">
        <v>22</v>
      </c>
      <c r="B27" s="29" t="s">
        <v>21</v>
      </c>
      <c r="C27" s="35" t="s">
        <v>70</v>
      </c>
      <c r="D27" s="40"/>
      <c r="E27" s="32">
        <v>0.15</v>
      </c>
      <c r="F27" s="41"/>
      <c r="G27" s="34">
        <f t="shared" si="4"/>
        <v>0.15</v>
      </c>
      <c r="H27" s="32">
        <f>1500/10000</f>
        <v>0.15</v>
      </c>
      <c r="I27" s="59">
        <f t="shared" si="1"/>
        <v>1</v>
      </c>
      <c r="J27" s="60">
        <f t="shared" si="3"/>
        <v>20</v>
      </c>
      <c r="K27" s="63">
        <v>20</v>
      </c>
      <c r="L27" s="63">
        <v>20</v>
      </c>
      <c r="M27" s="63">
        <v>12</v>
      </c>
      <c r="N27" s="63">
        <v>10</v>
      </c>
      <c r="O27" s="57">
        <f t="shared" si="5"/>
        <v>82</v>
      </c>
      <c r="P27" s="62" t="s">
        <v>59</v>
      </c>
    </row>
    <row r="28" spans="1:16" ht="20.100000000000001" customHeight="1" x14ac:dyDescent="0.15">
      <c r="A28" s="28">
        <v>23</v>
      </c>
      <c r="B28" s="29" t="s">
        <v>21</v>
      </c>
      <c r="C28" s="35" t="s">
        <v>71</v>
      </c>
      <c r="D28" s="40"/>
      <c r="E28" s="32">
        <f>150000/10000</f>
        <v>15</v>
      </c>
      <c r="F28" s="41"/>
      <c r="G28" s="34">
        <f t="shared" si="4"/>
        <v>15</v>
      </c>
      <c r="H28" s="32">
        <f>119840/10000</f>
        <v>11.984</v>
      </c>
      <c r="I28" s="59">
        <f t="shared" si="1"/>
        <v>0.79893333333333305</v>
      </c>
      <c r="J28" s="60">
        <f t="shared" si="3"/>
        <v>15.978666666666699</v>
      </c>
      <c r="K28" s="63">
        <v>20</v>
      </c>
      <c r="L28" s="63">
        <v>20</v>
      </c>
      <c r="M28" s="63">
        <v>22</v>
      </c>
      <c r="N28" s="63">
        <v>10</v>
      </c>
      <c r="O28" s="57">
        <f t="shared" si="5"/>
        <v>87.978666666666697</v>
      </c>
      <c r="P28" s="62" t="s">
        <v>47</v>
      </c>
    </row>
    <row r="29" spans="1:16" ht="20.100000000000001" customHeight="1" x14ac:dyDescent="0.15">
      <c r="A29" s="28">
        <v>24</v>
      </c>
      <c r="B29" s="29" t="s">
        <v>21</v>
      </c>
      <c r="C29" s="35" t="s">
        <v>72</v>
      </c>
      <c r="D29" s="40"/>
      <c r="E29" s="32">
        <f>214046.71/10000</f>
        <v>21.404671</v>
      </c>
      <c r="F29" s="41"/>
      <c r="G29" s="34">
        <f t="shared" si="4"/>
        <v>21.404671</v>
      </c>
      <c r="H29" s="32">
        <f>194027.51/10000</f>
        <v>19.402750999999999</v>
      </c>
      <c r="I29" s="59">
        <f t="shared" si="1"/>
        <v>0.90647275073744404</v>
      </c>
      <c r="J29" s="60">
        <f t="shared" si="3"/>
        <v>18.129455014748899</v>
      </c>
      <c r="K29" s="63">
        <v>18</v>
      </c>
      <c r="L29" s="63">
        <v>18</v>
      </c>
      <c r="M29" s="63">
        <v>22</v>
      </c>
      <c r="N29" s="63">
        <v>10</v>
      </c>
      <c r="O29" s="57">
        <f t="shared" si="5"/>
        <v>86.129455014748899</v>
      </c>
      <c r="P29" s="62" t="s">
        <v>59</v>
      </c>
    </row>
    <row r="30" spans="1:16" s="4" customFormat="1" ht="20.100000000000001" customHeight="1" x14ac:dyDescent="0.15">
      <c r="A30" s="21">
        <v>25</v>
      </c>
      <c r="B30" s="36" t="s">
        <v>21</v>
      </c>
      <c r="C30" s="37" t="s">
        <v>73</v>
      </c>
      <c r="D30" s="42" t="s">
        <v>41</v>
      </c>
      <c r="E30" s="25">
        <f>1000000/10000</f>
        <v>100</v>
      </c>
      <c r="F30" s="43"/>
      <c r="G30" s="24">
        <f t="shared" si="4"/>
        <v>100</v>
      </c>
      <c r="H30" s="25">
        <f>996891.48/10000</f>
        <v>99.689148000000003</v>
      </c>
      <c r="I30" s="54">
        <f t="shared" si="1"/>
        <v>0.99689148000000005</v>
      </c>
      <c r="J30" s="55">
        <f t="shared" si="3"/>
        <v>19.937829600000001</v>
      </c>
      <c r="K30" s="64">
        <v>20</v>
      </c>
      <c r="L30" s="64">
        <v>18</v>
      </c>
      <c r="M30" s="64">
        <v>28</v>
      </c>
      <c r="N30" s="64">
        <v>10</v>
      </c>
      <c r="O30" s="57">
        <f t="shared" si="5"/>
        <v>95.937829600000001</v>
      </c>
      <c r="P30" s="58" t="s">
        <v>47</v>
      </c>
    </row>
    <row r="31" spans="1:16" ht="20.100000000000001" customHeight="1" x14ac:dyDescent="0.15">
      <c r="A31" s="28">
        <v>26</v>
      </c>
      <c r="B31" s="29" t="s">
        <v>21</v>
      </c>
      <c r="C31" s="35" t="s">
        <v>74</v>
      </c>
      <c r="D31" s="40" t="s">
        <v>41</v>
      </c>
      <c r="E31" s="32">
        <f>420000/10000</f>
        <v>42</v>
      </c>
      <c r="F31" s="41"/>
      <c r="G31" s="34">
        <f t="shared" si="4"/>
        <v>42</v>
      </c>
      <c r="H31" s="32">
        <f>412973.12/10000</f>
        <v>41.297311999999998</v>
      </c>
      <c r="I31" s="59">
        <f t="shared" si="1"/>
        <v>0.983269333333333</v>
      </c>
      <c r="J31" s="60">
        <f t="shared" si="3"/>
        <v>19.665386666666699</v>
      </c>
      <c r="K31" s="63">
        <v>20</v>
      </c>
      <c r="L31" s="63">
        <v>20</v>
      </c>
      <c r="M31" s="63">
        <v>22</v>
      </c>
      <c r="N31" s="63">
        <v>10</v>
      </c>
      <c r="O31" s="57">
        <f t="shared" si="5"/>
        <v>91.665386666666706</v>
      </c>
      <c r="P31" s="62" t="s">
        <v>47</v>
      </c>
    </row>
    <row r="32" spans="1:16" ht="20.100000000000001" customHeight="1" x14ac:dyDescent="0.15">
      <c r="A32" s="28">
        <v>27</v>
      </c>
      <c r="B32" s="29" t="s">
        <v>21</v>
      </c>
      <c r="C32" s="35" t="s">
        <v>75</v>
      </c>
      <c r="D32" s="40"/>
      <c r="E32" s="32">
        <f>33300/10000</f>
        <v>3.33</v>
      </c>
      <c r="F32" s="41"/>
      <c r="G32" s="34">
        <f t="shared" si="4"/>
        <v>3.33</v>
      </c>
      <c r="H32" s="32">
        <f>16200/10000</f>
        <v>1.62</v>
      </c>
      <c r="I32" s="59">
        <f t="shared" si="1"/>
        <v>0.48648648648648701</v>
      </c>
      <c r="J32" s="60">
        <f t="shared" si="3"/>
        <v>9.7297297297297298</v>
      </c>
      <c r="K32" s="63">
        <v>20</v>
      </c>
      <c r="L32" s="63">
        <v>18</v>
      </c>
      <c r="M32" s="63">
        <v>27</v>
      </c>
      <c r="N32" s="63">
        <v>10</v>
      </c>
      <c r="O32" s="57">
        <f t="shared" si="5"/>
        <v>84.729729729729698</v>
      </c>
      <c r="P32" s="62" t="s">
        <v>76</v>
      </c>
    </row>
    <row r="33" spans="1:16" s="4" customFormat="1" ht="20.100000000000001" customHeight="1" x14ac:dyDescent="0.15">
      <c r="A33" s="21">
        <v>28</v>
      </c>
      <c r="B33" s="36" t="s">
        <v>21</v>
      </c>
      <c r="C33" s="37" t="s">
        <v>77</v>
      </c>
      <c r="D33" s="42" t="s">
        <v>78</v>
      </c>
      <c r="E33" s="25">
        <f>22000000/10000</f>
        <v>2200</v>
      </c>
      <c r="F33" s="43"/>
      <c r="G33" s="24">
        <f t="shared" si="4"/>
        <v>2200</v>
      </c>
      <c r="H33" s="25">
        <f>9321052.29/10000</f>
        <v>932.10522900000001</v>
      </c>
      <c r="I33" s="54">
        <f t="shared" si="1"/>
        <v>0.42368419499999999</v>
      </c>
      <c r="J33" s="55">
        <f t="shared" si="3"/>
        <v>8.4736838999999993</v>
      </c>
      <c r="K33" s="64">
        <v>20</v>
      </c>
      <c r="L33" s="64">
        <v>17</v>
      </c>
      <c r="M33" s="64">
        <v>24</v>
      </c>
      <c r="N33" s="64">
        <v>10</v>
      </c>
      <c r="O33" s="57">
        <f t="shared" si="5"/>
        <v>79.473683899999997</v>
      </c>
      <c r="P33" s="58" t="s">
        <v>79</v>
      </c>
    </row>
    <row r="34" spans="1:16" ht="20.100000000000001" customHeight="1" x14ac:dyDescent="0.15">
      <c r="A34" s="28">
        <v>29</v>
      </c>
      <c r="B34" s="29" t="s">
        <v>21</v>
      </c>
      <c r="C34" s="30" t="s">
        <v>80</v>
      </c>
      <c r="D34" s="40"/>
      <c r="E34" s="32">
        <v>2.16</v>
      </c>
      <c r="F34" s="41"/>
      <c r="G34" s="34">
        <f t="shared" si="4"/>
        <v>2.16</v>
      </c>
      <c r="H34" s="32">
        <f>21600/10000</f>
        <v>2.16</v>
      </c>
      <c r="I34" s="59">
        <f t="shared" si="1"/>
        <v>1</v>
      </c>
      <c r="J34" s="60">
        <f t="shared" si="3"/>
        <v>20</v>
      </c>
      <c r="K34" s="63">
        <v>20</v>
      </c>
      <c r="L34" s="63">
        <v>20</v>
      </c>
      <c r="M34" s="63">
        <v>25</v>
      </c>
      <c r="N34" s="63">
        <v>10</v>
      </c>
      <c r="O34" s="57">
        <f t="shared" si="5"/>
        <v>95</v>
      </c>
      <c r="P34" s="62" t="s">
        <v>47</v>
      </c>
    </row>
    <row r="35" spans="1:16" s="4" customFormat="1" ht="20.100000000000001" customHeight="1" x14ac:dyDescent="0.15">
      <c r="A35" s="21">
        <v>30</v>
      </c>
      <c r="B35" s="21" t="s">
        <v>21</v>
      </c>
      <c r="C35" s="37" t="s">
        <v>81</v>
      </c>
      <c r="D35" s="42" t="s">
        <v>82</v>
      </c>
      <c r="E35" s="25">
        <f>10688000/10000</f>
        <v>1068.8</v>
      </c>
      <c r="F35" s="43">
        <f>-300000/10000</f>
        <v>-30</v>
      </c>
      <c r="G35" s="24">
        <f t="shared" si="4"/>
        <v>1038.8</v>
      </c>
      <c r="H35" s="25">
        <f>5063978.48/10000</f>
        <v>506.39784800000001</v>
      </c>
      <c r="I35" s="54">
        <f t="shared" si="1"/>
        <v>0.48748348864073898</v>
      </c>
      <c r="J35" s="55">
        <f t="shared" si="3"/>
        <v>9.7496697728147907</v>
      </c>
      <c r="K35" s="64">
        <v>20</v>
      </c>
      <c r="L35" s="64">
        <v>20</v>
      </c>
      <c r="M35" s="64">
        <v>25</v>
      </c>
      <c r="N35" s="64">
        <v>10</v>
      </c>
      <c r="O35" s="57">
        <f t="shared" si="5"/>
        <v>84.749669772814798</v>
      </c>
      <c r="P35" s="58" t="s">
        <v>83</v>
      </c>
    </row>
    <row r="36" spans="1:16" ht="21.95" customHeight="1" x14ac:dyDescent="0.15">
      <c r="A36" s="28">
        <v>31</v>
      </c>
      <c r="B36" s="28" t="s">
        <v>21</v>
      </c>
      <c r="C36" s="35" t="s">
        <v>84</v>
      </c>
      <c r="D36" s="40"/>
      <c r="E36" s="32">
        <f>584403.41/10000</f>
        <v>58.440340999999997</v>
      </c>
      <c r="F36" s="35"/>
      <c r="G36" s="44">
        <f t="shared" si="4"/>
        <v>58.440340999999997</v>
      </c>
      <c r="H36" s="32">
        <f>97106.51/10000</f>
        <v>9.7106510000000004</v>
      </c>
      <c r="I36" s="59">
        <f t="shared" si="1"/>
        <v>0.16616348970311401</v>
      </c>
      <c r="J36" s="60">
        <f t="shared" si="3"/>
        <v>3.32326979406229</v>
      </c>
      <c r="K36" s="65">
        <v>20</v>
      </c>
      <c r="L36" s="65">
        <v>20</v>
      </c>
      <c r="M36" s="65">
        <v>24</v>
      </c>
      <c r="N36" s="65">
        <v>10</v>
      </c>
      <c r="O36" s="57">
        <f t="shared" si="5"/>
        <v>77.323269794062298</v>
      </c>
      <c r="P36" s="66" t="s">
        <v>53</v>
      </c>
    </row>
  </sheetData>
  <mergeCells count="11">
    <mergeCell ref="A1:P1"/>
    <mergeCell ref="A2:B2"/>
    <mergeCell ref="E2:F2"/>
    <mergeCell ref="E3:G3"/>
    <mergeCell ref="J3:O3"/>
    <mergeCell ref="A3:A4"/>
    <mergeCell ref="B3:B4"/>
    <mergeCell ref="C3:C4"/>
    <mergeCell ref="D3:D4"/>
    <mergeCell ref="H3:H4"/>
    <mergeCell ref="P3:P4"/>
  </mergeCells>
  <phoneticPr fontId="7" type="noConversion"/>
  <pageMargins left="0.75" right="0.75" top="1" bottom="1" header="0.5" footer="0.5"/>
  <pageSetup paperSize="9" scale="66" fitToHeight="0" orientation="landscape"/>
  <ignoredErrors>
    <ignoredError sqref="G6:G32 G33:G34"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vt:lpstr>
      <vt:lpstr>汇总!Print_Area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2024-04-26T03:27:00Z</dcterms:created>
  <dcterms:modified xsi:type="dcterms:W3CDTF">2024-05-24T03:16:12Z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17D34573418A45728A7F2B84C72445A7_13</vt:lpwstr>
  </property>
  <property fmtid="{D5CDD505-2E9C-101B-9397-08002B2CF9AE}" pid="3" name="KSOProductBuildVer">
    <vt:lpwstr>2052-12.1.0.16729</vt:lpwstr>
  </property>
</Properties>
</file>